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65" activeTab="0"/>
  </bookViews>
  <sheets>
    <sheet name="9849C" sheetId="1" r:id="rId1"/>
  </sheets>
  <definedNames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Pilot</author>
  </authors>
  <commentList>
    <comment ref="H47" authorId="0">
      <text>
        <r>
          <rPr>
            <sz val="8"/>
            <rFont val="Tahoma"/>
            <family val="2"/>
          </rPr>
          <t>01 Sep 01: Updated Temp / Altitude / Airspeed Calculations
29 Jul 05: Updated Empty Weight and Moment
07 Oct 03:  Set default weights for Va &amp; Vso at min and max values, respectively.</t>
        </r>
      </text>
    </comment>
  </commentList>
</comments>
</file>

<file path=xl/sharedStrings.xml><?xml version="1.0" encoding="utf-8"?>
<sst xmlns="http://schemas.openxmlformats.org/spreadsheetml/2006/main" count="65" uniqueCount="55">
  <si>
    <t>Item</t>
  </si>
  <si>
    <t>Weight</t>
  </si>
  <si>
    <t>Arm</t>
  </si>
  <si>
    <t>Moment</t>
  </si>
  <si>
    <t>Pilot</t>
  </si>
  <si>
    <t>Co-Pilot</t>
  </si>
  <si>
    <t>Fuel (80 max)</t>
  </si>
  <si>
    <t>Gal</t>
  </si>
  <si>
    <t>Rear Passenger</t>
  </si>
  <si>
    <t>Baggage Area "A" (120 lb max)</t>
  </si>
  <si>
    <t>Baggage Area "B" (80 lb max)</t>
  </si>
  <si>
    <t>Ramp Conditions:</t>
  </si>
  <si>
    <t>Fuel (Start, Taxi, Takeoff)</t>
  </si>
  <si>
    <t>gal</t>
  </si>
  <si>
    <t>Estimated Fuel Used</t>
  </si>
  <si>
    <t>Fuel Burn</t>
  </si>
  <si>
    <t>gal / hr</t>
  </si>
  <si>
    <t>Estimated Fuel Left</t>
  </si>
  <si>
    <t>Planned Flight Time</t>
  </si>
  <si>
    <t>hrs</t>
  </si>
  <si>
    <t>Estimated Time Left</t>
  </si>
  <si>
    <t>Landing Conditions:</t>
  </si>
  <si>
    <t>Convert Celcius</t>
  </si>
  <si>
    <t xml:space="preserve"> to Fahrenheit</t>
  </si>
  <si>
    <t>Enter deg C:</t>
  </si>
  <si>
    <t>C.G.</t>
  </si>
  <si>
    <t>Get deg F:</t>
  </si>
  <si>
    <t>in</t>
  </si>
  <si>
    <t>lb</t>
  </si>
  <si>
    <t>Ramp:</t>
  </si>
  <si>
    <t>Departure</t>
  </si>
  <si>
    <t>Arrival</t>
  </si>
  <si>
    <t>Landing:</t>
  </si>
  <si>
    <t>Field Elevation</t>
  </si>
  <si>
    <t>Normal</t>
  </si>
  <si>
    <t>Altimeter Setting</t>
  </si>
  <si>
    <t>Temp, deg F</t>
  </si>
  <si>
    <t>Std Temp at Field</t>
  </si>
  <si>
    <t>Pressure Altitude</t>
  </si>
  <si>
    <t>Density Altitude</t>
  </si>
  <si>
    <t>Maneuvering Data</t>
  </si>
  <si>
    <t>Max Weight:</t>
  </si>
  <si>
    <t>1.3 x Vso:</t>
  </si>
  <si>
    <t>1.4 x Vso:</t>
  </si>
  <si>
    <t>1.5 x Vso:</t>
  </si>
  <si>
    <t>Fuel to Climb</t>
  </si>
  <si>
    <t>Max Weight</t>
  </si>
  <si>
    <t>Your Weight</t>
  </si>
  <si>
    <t>Airspeed (KIAS)</t>
  </si>
  <si>
    <t>Vso (KIAS) at Desired Wt:</t>
  </si>
  <si>
    <t>Desired Weight:</t>
  </si>
  <si>
    <t>Empty Weight (as of 29 Jul 05)</t>
  </si>
  <si>
    <t>Updated by Paul McCroskey, 29 Jul 05</t>
  </si>
  <si>
    <t>Provided as a guide only and may not be correct. 
Pilots shall refer to POH to ensure accuracy and latest information.</t>
  </si>
  <si>
    <t>N9849C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</si>
</sst>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_)"/>
    <numFmt numFmtId="168" formatCode="0.0"/>
    <numFmt numFmtId="169" formatCode="0.0000"/>
    <numFmt numFmtId="170" formatCode="#,##0.0"/>
  </numFmts>
  <fonts count="4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70" fontId="6" fillId="0" borderId="0" xfId="55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Font="1" applyAlignment="1" applyProtection="1">
      <alignment horizontal="right"/>
      <protection hidden="1"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righ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168" fontId="6" fillId="0" borderId="0" xfId="0" applyNumberFormat="1" applyFont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right"/>
      <protection hidden="1"/>
    </xf>
    <xf numFmtId="168" fontId="6" fillId="0" borderId="0" xfId="0" applyNumberFormat="1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167" fontId="6" fillId="0" borderId="0" xfId="0" applyNumberFormat="1" applyFont="1" applyAlignment="1" applyProtection="1">
      <alignment horizontal="right"/>
      <protection hidden="1"/>
    </xf>
    <xf numFmtId="164" fontId="6" fillId="0" borderId="0" xfId="0" applyFont="1" applyAlignment="1" applyProtection="1">
      <alignment horizontal="center"/>
      <protection hidden="1"/>
    </xf>
    <xf numFmtId="167" fontId="6" fillId="0" borderId="0" xfId="0" applyNumberFormat="1" applyFont="1" applyAlignment="1" applyProtection="1">
      <alignment horizontal="center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166" fontId="6" fillId="0" borderId="0" xfId="0" applyNumberFormat="1" applyFont="1" applyAlignment="1" applyProtection="1">
      <alignment horizontal="center"/>
      <protection hidden="1"/>
    </xf>
    <xf numFmtId="0" fontId="6" fillId="0" borderId="0" xfId="55" applyFont="1" applyAlignment="1">
      <alignment horizontal="centerContinuous"/>
      <protection/>
    </xf>
    <xf numFmtId="164" fontId="6" fillId="0" borderId="0" xfId="0" applyFont="1" applyAlignment="1">
      <alignment horizontal="centerContinuous"/>
    </xf>
    <xf numFmtId="0" fontId="6" fillId="0" borderId="0" xfId="55" applyFont="1" applyAlignment="1">
      <alignment horizontal="right"/>
      <protection/>
    </xf>
    <xf numFmtId="168" fontId="7" fillId="0" borderId="0" xfId="55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/>
      <protection hidden="1"/>
    </xf>
    <xf numFmtId="168" fontId="6" fillId="0" borderId="0" xfId="55" applyNumberFormat="1" applyFont="1" applyBorder="1" applyAlignment="1" applyProtection="1">
      <alignment horizontal="left"/>
      <protection hidden="1"/>
    </xf>
    <xf numFmtId="169" fontId="8" fillId="0" borderId="0" xfId="0" applyNumberFormat="1" applyFont="1" applyAlignment="1" applyProtection="1">
      <alignment/>
      <protection hidden="1"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167" fontId="6" fillId="0" borderId="0" xfId="0" applyNumberFormat="1" applyFont="1" applyAlignment="1" applyProtection="1">
      <alignment/>
      <protection hidden="1"/>
    </xf>
    <xf numFmtId="3" fontId="7" fillId="0" borderId="0" xfId="55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Continuous"/>
      <protection hidden="1"/>
    </xf>
    <xf numFmtId="2" fontId="7" fillId="0" borderId="0" xfId="55" applyNumberFormat="1" applyFont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right"/>
      <protection hidden="1"/>
    </xf>
    <xf numFmtId="168" fontId="7" fillId="0" borderId="0" xfId="55" applyNumberFormat="1" applyFont="1" applyBorder="1" applyAlignment="1" applyProtection="1">
      <alignment horizontal="center"/>
      <protection locked="0"/>
    </xf>
    <xf numFmtId="3" fontId="6" fillId="0" borderId="0" xfId="55" applyNumberFormat="1" applyFont="1" applyAlignment="1">
      <alignment horizontal="center"/>
      <protection/>
    </xf>
    <xf numFmtId="3" fontId="6" fillId="0" borderId="0" xfId="55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/>
      <protection locked="0"/>
    </xf>
    <xf numFmtId="164" fontId="11" fillId="0" borderId="0" xfId="0" applyFont="1" applyAlignment="1">
      <alignment/>
    </xf>
    <xf numFmtId="164" fontId="10" fillId="0" borderId="0" xfId="0" applyFont="1" applyAlignment="1">
      <alignment wrapText="1"/>
    </xf>
    <xf numFmtId="164" fontId="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9392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'9849C'!$C$29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'9849C'!$C$30:$C$36</c:f>
              <c:numCache/>
            </c:numRef>
          </c:xVal>
          <c:yVal>
            <c:numRef>
              <c:f>'9849C'!$D$30:$D$36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'9849C'!$C$27:$C$28</c:f>
              <c:numCache/>
            </c:numRef>
          </c:xVal>
          <c:yVal>
            <c:numRef>
              <c:f>'9849C'!$D$27:$D$28</c:f>
              <c:numCache/>
            </c:numRef>
          </c:yVal>
          <c:smooth val="0"/>
        </c:ser>
        <c:axId val="6653833"/>
        <c:axId val="59884498"/>
      </c:scatterChart>
      <c:valAx>
        <c:axId val="6653833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Center of Gravity (in)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884498"/>
        <c:crosses val="autoZero"/>
        <c:crossBetween val="midCat"/>
        <c:dispUnits/>
        <c:majorUnit val="2"/>
        <c:minorUnit val="1"/>
      </c:valAx>
      <c:valAx>
        <c:axId val="59884498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53833"/>
        <c:crosses val="autoZero"/>
        <c:crossBetween val="midCat"/>
        <c:dispUnits/>
        <c:majorUnit val="2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18</xdr:row>
      <xdr:rowOff>57150</xdr:rowOff>
    </xdr:from>
    <xdr:to>
      <xdr:col>5</xdr:col>
      <xdr:colOff>409575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2800350"/>
        <a:ext cx="3695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90" zoomScaleNormal="90" zoomScalePageLayoutView="0" workbookViewId="0" topLeftCell="A1">
      <selection activeCell="I31" sqref="I31"/>
    </sheetView>
  </sheetViews>
  <sheetFormatPr defaultColWidth="9.00390625" defaultRowHeight="12.75"/>
  <cols>
    <col min="1" max="8" width="8.625" style="6" customWidth="1"/>
    <col min="9" max="9" width="10.125" style="6" customWidth="1"/>
    <col min="10" max="10" width="8.625" style="6" customWidth="1"/>
    <col min="11" max="16384" width="9.00390625" style="6" customWidth="1"/>
  </cols>
  <sheetData>
    <row r="1" ht="12.75">
      <c r="D1" s="44" t="s">
        <v>54</v>
      </c>
    </row>
    <row r="2" ht="11.25"/>
    <row r="3" spans="1:9" ht="12" customHeight="1">
      <c r="A3" s="2" t="s">
        <v>0</v>
      </c>
      <c r="B3" s="3"/>
      <c r="C3" s="3"/>
      <c r="D3" s="4" t="s">
        <v>1</v>
      </c>
      <c r="E3" s="5"/>
      <c r="F3" s="4" t="s">
        <v>2</v>
      </c>
      <c r="G3" s="5"/>
      <c r="H3" s="4" t="s">
        <v>3</v>
      </c>
      <c r="I3" s="3"/>
    </row>
    <row r="4" spans="1:9" ht="12" customHeight="1">
      <c r="A4" s="7" t="s">
        <v>51</v>
      </c>
      <c r="B4" s="3"/>
      <c r="C4" s="3"/>
      <c r="D4" s="8">
        <v>1862.1</v>
      </c>
      <c r="E4" s="5"/>
      <c r="F4" s="9">
        <v>33.93</v>
      </c>
      <c r="G4" s="5"/>
      <c r="H4" s="10">
        <v>63195.45</v>
      </c>
      <c r="I4" s="3"/>
    </row>
    <row r="5" spans="1:9" ht="12" customHeight="1">
      <c r="A5" s="7" t="s">
        <v>4</v>
      </c>
      <c r="B5" s="3"/>
      <c r="C5" s="3"/>
      <c r="D5" s="11">
        <v>200</v>
      </c>
      <c r="E5" s="5"/>
      <c r="F5" s="9">
        <v>37</v>
      </c>
      <c r="G5" s="5"/>
      <c r="H5" s="10">
        <f aca="true" t="shared" si="0" ref="H5:H11">D5*F5</f>
        <v>7400</v>
      </c>
      <c r="I5" s="3"/>
    </row>
    <row r="6" spans="1:9" ht="12" customHeight="1">
      <c r="A6" s="7" t="s">
        <v>5</v>
      </c>
      <c r="B6" s="3"/>
      <c r="C6" s="3"/>
      <c r="D6" s="11">
        <v>205</v>
      </c>
      <c r="E6" s="5"/>
      <c r="F6" s="9">
        <v>37</v>
      </c>
      <c r="G6" s="5"/>
      <c r="H6" s="10">
        <f t="shared" si="0"/>
        <v>7585</v>
      </c>
      <c r="I6" s="3"/>
    </row>
    <row r="7" spans="1:9" ht="12" customHeight="1">
      <c r="A7" s="7" t="s">
        <v>6</v>
      </c>
      <c r="B7" s="12">
        <v>75</v>
      </c>
      <c r="C7" s="7" t="s">
        <v>7</v>
      </c>
      <c r="D7" s="8">
        <f>B7*6</f>
        <v>450</v>
      </c>
      <c r="E7" s="5"/>
      <c r="F7" s="9">
        <v>48</v>
      </c>
      <c r="G7" s="5"/>
      <c r="H7" s="10">
        <f t="shared" si="0"/>
        <v>21600</v>
      </c>
      <c r="I7" s="3"/>
    </row>
    <row r="8" spans="1:9" ht="12" customHeight="1">
      <c r="A8" s="7" t="s">
        <v>8</v>
      </c>
      <c r="B8" s="3"/>
      <c r="C8" s="3"/>
      <c r="D8" s="11">
        <v>35</v>
      </c>
      <c r="E8" s="5"/>
      <c r="F8" s="9">
        <v>74</v>
      </c>
      <c r="G8" s="5"/>
      <c r="H8" s="10">
        <f t="shared" si="0"/>
        <v>2590</v>
      </c>
      <c r="I8" s="3"/>
    </row>
    <row r="9" spans="1:9" ht="12" customHeight="1">
      <c r="A9" s="7" t="s">
        <v>8</v>
      </c>
      <c r="B9" s="3"/>
      <c r="C9" s="3"/>
      <c r="D9" s="11">
        <v>0</v>
      </c>
      <c r="E9" s="5"/>
      <c r="F9" s="9">
        <v>74</v>
      </c>
      <c r="G9" s="5"/>
      <c r="H9" s="10">
        <f t="shared" si="0"/>
        <v>0</v>
      </c>
      <c r="I9" s="3"/>
    </row>
    <row r="10" spans="1:9" ht="12" customHeight="1">
      <c r="A10" s="7" t="s">
        <v>9</v>
      </c>
      <c r="B10" s="3"/>
      <c r="C10" s="3"/>
      <c r="D10" s="11">
        <v>0</v>
      </c>
      <c r="E10" s="5"/>
      <c r="F10" s="9">
        <v>97</v>
      </c>
      <c r="G10" s="5"/>
      <c r="H10" s="10">
        <f t="shared" si="0"/>
        <v>0</v>
      </c>
      <c r="I10" s="3"/>
    </row>
    <row r="11" spans="1:9" ht="12" customHeight="1">
      <c r="A11" s="7" t="s">
        <v>10</v>
      </c>
      <c r="B11" s="3"/>
      <c r="C11" s="3"/>
      <c r="D11" s="11">
        <v>0</v>
      </c>
      <c r="E11" s="5"/>
      <c r="F11" s="9">
        <v>121</v>
      </c>
      <c r="G11" s="5"/>
      <c r="H11" s="10">
        <f t="shared" si="0"/>
        <v>0</v>
      </c>
      <c r="I11" s="3"/>
    </row>
    <row r="12" spans="1:9" ht="12" customHeight="1">
      <c r="A12" s="3"/>
      <c r="B12" s="3"/>
      <c r="C12" s="4" t="s">
        <v>11</v>
      </c>
      <c r="D12" s="8">
        <f>SUM(D4:D11)</f>
        <v>2752.1</v>
      </c>
      <c r="E12" s="5"/>
      <c r="F12" s="9">
        <f>H12/D12</f>
        <v>37.197213037316956</v>
      </c>
      <c r="G12" s="5"/>
      <c r="H12" s="10">
        <f>SUM(H4:H11)</f>
        <v>102370.45</v>
      </c>
      <c r="I12" s="3"/>
    </row>
    <row r="13" spans="1:9" ht="12" customHeight="1">
      <c r="A13" s="3"/>
      <c r="B13" s="3"/>
      <c r="C13" s="4"/>
      <c r="D13" s="9"/>
      <c r="E13" s="5"/>
      <c r="F13" s="9"/>
      <c r="G13" s="5"/>
      <c r="H13" s="13"/>
      <c r="I13" s="3"/>
    </row>
    <row r="14" spans="1:9" ht="12" customHeight="1">
      <c r="A14" s="3"/>
      <c r="B14" s="4" t="s">
        <v>12</v>
      </c>
      <c r="C14" s="6">
        <v>2</v>
      </c>
      <c r="D14" s="6" t="s">
        <v>13</v>
      </c>
      <c r="E14" s="3"/>
      <c r="I14" s="3"/>
    </row>
    <row r="15" spans="1:9" ht="12" customHeight="1">
      <c r="A15" s="3"/>
      <c r="B15" s="4" t="s">
        <v>45</v>
      </c>
      <c r="C15" s="12">
        <v>4</v>
      </c>
      <c r="D15" s="3" t="s">
        <v>13</v>
      </c>
      <c r="E15" s="3"/>
      <c r="F15" s="4" t="s">
        <v>14</v>
      </c>
      <c r="G15" s="14">
        <f>C14+C15+(C16*C17)</f>
        <v>54</v>
      </c>
      <c r="H15" s="3" t="s">
        <v>13</v>
      </c>
      <c r="I15" s="3"/>
    </row>
    <row r="16" spans="1:9" ht="12" customHeight="1">
      <c r="A16" s="3"/>
      <c r="B16" s="4" t="s">
        <v>15</v>
      </c>
      <c r="C16" s="12">
        <v>12</v>
      </c>
      <c r="D16" s="3" t="s">
        <v>16</v>
      </c>
      <c r="E16" s="3"/>
      <c r="F16" s="4" t="s">
        <v>17</v>
      </c>
      <c r="G16" s="14">
        <f>B7-G15</f>
        <v>21</v>
      </c>
      <c r="H16" s="3" t="s">
        <v>13</v>
      </c>
      <c r="I16" s="3"/>
    </row>
    <row r="17" spans="1:9" ht="12" customHeight="1">
      <c r="A17" s="3"/>
      <c r="B17" s="4" t="s">
        <v>18</v>
      </c>
      <c r="C17" s="12">
        <v>4</v>
      </c>
      <c r="D17" s="3" t="s">
        <v>19</v>
      </c>
      <c r="E17" s="3"/>
      <c r="F17" s="4" t="s">
        <v>20</v>
      </c>
      <c r="G17" s="15">
        <f>G16/C16</f>
        <v>1.75</v>
      </c>
      <c r="H17" s="3" t="s">
        <v>19</v>
      </c>
      <c r="I17" s="3"/>
    </row>
    <row r="18" spans="1:9" ht="12" customHeight="1">
      <c r="A18" s="3"/>
      <c r="B18" s="3"/>
      <c r="C18" s="3"/>
      <c r="D18" s="3"/>
      <c r="E18" s="3"/>
      <c r="F18" s="3"/>
      <c r="G18" s="3"/>
      <c r="H18" s="3"/>
      <c r="I18" s="3"/>
    </row>
    <row r="19" spans="2:9" ht="12" customHeight="1">
      <c r="B19" s="3"/>
      <c r="D19" s="4" t="s">
        <v>1</v>
      </c>
      <c r="E19" s="5"/>
      <c r="F19" s="4" t="s">
        <v>2</v>
      </c>
      <c r="G19" s="5"/>
      <c r="H19" s="4" t="s">
        <v>3</v>
      </c>
      <c r="I19" s="3"/>
    </row>
    <row r="20" spans="1:9" ht="12" customHeight="1">
      <c r="A20" s="7"/>
      <c r="B20" s="3"/>
      <c r="C20" s="4" t="s">
        <v>21</v>
      </c>
      <c r="D20" s="16">
        <f>SUM(D4:D6,D8:D10)+((D7)-(G15*6))</f>
        <v>2428.1</v>
      </c>
      <c r="E20" s="17"/>
      <c r="F20" s="9">
        <f>H20/D20</f>
        <v>35.75571434454923</v>
      </c>
      <c r="G20" s="17"/>
      <c r="H20" s="13">
        <f>SUM(H4:H6,H8:H10)+((B7-G15)*(F7*6))</f>
        <v>86818.45</v>
      </c>
      <c r="I20" s="3"/>
    </row>
    <row r="21" spans="1:9" ht="12" customHeight="1">
      <c r="A21" s="7"/>
      <c r="B21" s="3"/>
      <c r="C21" s="4"/>
      <c r="D21" s="18"/>
      <c r="E21" s="17"/>
      <c r="F21" s="19"/>
      <c r="G21" s="17"/>
      <c r="H21" s="20"/>
      <c r="I21" s="3"/>
    </row>
    <row r="22" spans="5:9" ht="12" customHeight="1">
      <c r="E22" s="3"/>
      <c r="H22" s="21" t="s">
        <v>22</v>
      </c>
      <c r="I22" s="22"/>
    </row>
    <row r="23" spans="5:9" ht="12" customHeight="1">
      <c r="E23" s="3"/>
      <c r="H23" s="21" t="s">
        <v>23</v>
      </c>
      <c r="I23" s="22"/>
    </row>
    <row r="24" spans="5:9" ht="12" customHeight="1">
      <c r="E24" s="3"/>
      <c r="H24" s="23" t="s">
        <v>24</v>
      </c>
      <c r="I24" s="24">
        <v>30</v>
      </c>
    </row>
    <row r="25" spans="1:9" ht="12" customHeight="1">
      <c r="A25" s="7"/>
      <c r="B25" s="25"/>
      <c r="C25" s="26" t="s">
        <v>25</v>
      </c>
      <c r="D25" s="26" t="s">
        <v>1</v>
      </c>
      <c r="E25" s="3"/>
      <c r="F25" s="27"/>
      <c r="H25" s="23" t="s">
        <v>26</v>
      </c>
      <c r="I25" s="28">
        <f>32+I24*9/5</f>
        <v>86</v>
      </c>
    </row>
    <row r="26" spans="1:9" ht="12" customHeight="1">
      <c r="A26" s="3"/>
      <c r="B26" s="25"/>
      <c r="C26" s="26" t="s">
        <v>27</v>
      </c>
      <c r="D26" s="26" t="s">
        <v>28</v>
      </c>
      <c r="E26" s="3"/>
      <c r="F26" s="3"/>
      <c r="I26" s="3"/>
    </row>
    <row r="27" spans="1:9" ht="12" customHeight="1">
      <c r="A27" s="3"/>
      <c r="B27" s="25" t="s">
        <v>29</v>
      </c>
      <c r="C27" s="29">
        <f>F12</f>
        <v>37.197213037316956</v>
      </c>
      <c r="D27" s="25">
        <f>D12</f>
        <v>2752.1</v>
      </c>
      <c r="E27" s="3"/>
      <c r="F27" s="3"/>
      <c r="G27" s="30"/>
      <c r="H27" s="31" t="s">
        <v>30</v>
      </c>
      <c r="I27" s="31" t="s">
        <v>31</v>
      </c>
    </row>
    <row r="28" spans="1:9" ht="12" customHeight="1">
      <c r="A28" s="7"/>
      <c r="B28" s="25" t="s">
        <v>32</v>
      </c>
      <c r="C28" s="29">
        <f>F20</f>
        <v>35.75571434454923</v>
      </c>
      <c r="D28" s="25">
        <f>D20</f>
        <v>2428.1</v>
      </c>
      <c r="E28" s="3"/>
      <c r="F28" s="32"/>
      <c r="G28" s="23" t="s">
        <v>33</v>
      </c>
      <c r="H28" s="33">
        <v>6600</v>
      </c>
      <c r="I28" s="33">
        <v>6600</v>
      </c>
    </row>
    <row r="29" spans="1:9" ht="12" customHeight="1">
      <c r="A29" s="7"/>
      <c r="B29" s="25"/>
      <c r="C29" s="34" t="s">
        <v>34</v>
      </c>
      <c r="D29" s="34"/>
      <c r="E29" s="3"/>
      <c r="F29" s="32"/>
      <c r="G29" s="23" t="s">
        <v>35</v>
      </c>
      <c r="H29" s="35">
        <v>30.2</v>
      </c>
      <c r="I29" s="35">
        <v>30.2</v>
      </c>
    </row>
    <row r="30" spans="1:9" ht="12" customHeight="1">
      <c r="A30" s="3"/>
      <c r="B30" s="25"/>
      <c r="C30" s="36">
        <v>33</v>
      </c>
      <c r="D30" s="36">
        <v>1800</v>
      </c>
      <c r="E30" s="3"/>
      <c r="F30" s="3"/>
      <c r="G30" s="23" t="s">
        <v>36</v>
      </c>
      <c r="H30" s="37">
        <v>86</v>
      </c>
      <c r="I30" s="37">
        <v>86</v>
      </c>
    </row>
    <row r="31" spans="1:9" ht="12" customHeight="1">
      <c r="A31" s="27"/>
      <c r="B31" s="25"/>
      <c r="C31" s="36">
        <v>33</v>
      </c>
      <c r="D31" s="36">
        <v>2260</v>
      </c>
      <c r="E31" s="3"/>
      <c r="F31" s="3"/>
      <c r="G31" s="23" t="s">
        <v>37</v>
      </c>
      <c r="H31" s="1">
        <f>59-H28*3.5/1000</f>
        <v>35.9</v>
      </c>
      <c r="I31" s="1">
        <f>59-I28*3.5/1000</f>
        <v>35.9</v>
      </c>
    </row>
    <row r="32" spans="1:9" ht="12" customHeight="1">
      <c r="A32" s="27"/>
      <c r="B32" s="25"/>
      <c r="C32" s="36">
        <v>35.5</v>
      </c>
      <c r="D32" s="36">
        <v>2700</v>
      </c>
      <c r="E32" s="3"/>
      <c r="F32" s="3"/>
      <c r="G32" s="23" t="s">
        <v>38</v>
      </c>
      <c r="H32" s="38">
        <f>H28-(H29-29.92)*1000</f>
        <v>6320.000000000003</v>
      </c>
      <c r="I32" s="38">
        <f>I28-(I29-29.92)*1000</f>
        <v>6320.000000000003</v>
      </c>
    </row>
    <row r="33" spans="1:9" ht="12" customHeight="1">
      <c r="A33" s="27"/>
      <c r="B33" s="25"/>
      <c r="C33" s="36">
        <v>40.9</v>
      </c>
      <c r="D33" s="36">
        <v>3100</v>
      </c>
      <c r="E33" s="3"/>
      <c r="F33" s="3"/>
      <c r="G33" s="23" t="s">
        <v>39</v>
      </c>
      <c r="H33" s="39">
        <f>H32+((H30-H31)/15)*1000</f>
        <v>9660.000000000004</v>
      </c>
      <c r="I33" s="39">
        <f>I32+((I30-I31)/15)*1000</f>
        <v>9660.000000000004</v>
      </c>
    </row>
    <row r="34" spans="1:9" ht="12" customHeight="1">
      <c r="A34" s="27"/>
      <c r="B34" s="25"/>
      <c r="C34" s="36">
        <v>47</v>
      </c>
      <c r="D34" s="36">
        <v>3100</v>
      </c>
      <c r="E34" s="3"/>
      <c r="F34" s="3"/>
      <c r="G34" s="3"/>
      <c r="H34" s="3"/>
      <c r="I34" s="3"/>
    </row>
    <row r="35" spans="1:9" ht="12" customHeight="1">
      <c r="A35" s="27"/>
      <c r="B35" s="25"/>
      <c r="C35" s="36">
        <v>47</v>
      </c>
      <c r="D35" s="36">
        <v>1800</v>
      </c>
      <c r="E35" s="3"/>
      <c r="F35" s="3"/>
      <c r="H35" s="4" t="s">
        <v>40</v>
      </c>
      <c r="I35" s="3"/>
    </row>
    <row r="36" spans="1:9" ht="12" customHeight="1">
      <c r="A36" s="27"/>
      <c r="B36" s="25"/>
      <c r="C36" s="36">
        <v>33</v>
      </c>
      <c r="D36" s="36">
        <v>1800</v>
      </c>
      <c r="E36" s="3"/>
      <c r="F36" s="3"/>
      <c r="H36" s="2" t="s">
        <v>1</v>
      </c>
      <c r="I36" s="2" t="s">
        <v>48</v>
      </c>
    </row>
    <row r="37" spans="1:9" ht="12" customHeight="1">
      <c r="A37" s="27"/>
      <c r="B37" s="3"/>
      <c r="C37" s="3"/>
      <c r="D37" s="3"/>
      <c r="E37" s="3"/>
      <c r="F37" s="3"/>
      <c r="G37" s="4" t="s">
        <v>41</v>
      </c>
      <c r="H37" s="42">
        <v>3100</v>
      </c>
      <c r="I37" s="18">
        <v>112</v>
      </c>
    </row>
    <row r="38" spans="1:9" ht="12" customHeight="1">
      <c r="A38" s="3"/>
      <c r="B38" s="3"/>
      <c r="C38" s="3"/>
      <c r="D38" s="3"/>
      <c r="E38" s="3"/>
      <c r="F38" s="3"/>
      <c r="G38" s="4" t="s">
        <v>50</v>
      </c>
      <c r="H38" s="43">
        <v>2767</v>
      </c>
      <c r="I38" s="40">
        <f>ROUNDDOWN(I37*SQRT(H38/H37),0)</f>
        <v>105</v>
      </c>
    </row>
    <row r="39" ht="12" customHeight="1">
      <c r="G39" s="3"/>
    </row>
    <row r="40" spans="7:9" ht="12" customHeight="1">
      <c r="G40" s="3"/>
      <c r="H40" s="6" t="s">
        <v>46</v>
      </c>
      <c r="I40" s="3" t="s">
        <v>47</v>
      </c>
    </row>
    <row r="41" spans="7:9" ht="12" customHeight="1">
      <c r="G41" s="5"/>
      <c r="H41" s="42">
        <v>3100</v>
      </c>
      <c r="I41" s="43">
        <v>2767</v>
      </c>
    </row>
    <row r="42" spans="1:9" ht="12" customHeight="1">
      <c r="A42" s="41"/>
      <c r="G42" s="4" t="s">
        <v>49</v>
      </c>
      <c r="H42" s="18">
        <v>37</v>
      </c>
      <c r="I42" s="40">
        <f>H42*SQRT(I41/H41)</f>
        <v>34.956299907538934</v>
      </c>
    </row>
    <row r="43" spans="7:9" ht="12" customHeight="1">
      <c r="G43" s="4" t="s">
        <v>42</v>
      </c>
      <c r="H43" s="18">
        <f>1.3*H42</f>
        <v>48.1</v>
      </c>
      <c r="I43" s="40">
        <f>1.3*I42</f>
        <v>45.44318987980061</v>
      </c>
    </row>
    <row r="44" spans="7:9" ht="12" customHeight="1">
      <c r="G44" s="4" t="s">
        <v>43</v>
      </c>
      <c r="H44" s="18">
        <f>1.4*H42</f>
        <v>51.8</v>
      </c>
      <c r="I44" s="40">
        <f>1.4*I42</f>
        <v>48.938819870554504</v>
      </c>
    </row>
    <row r="45" spans="7:9" ht="12" customHeight="1">
      <c r="G45" s="4" t="s">
        <v>44</v>
      </c>
      <c r="H45" s="18">
        <f>1.5*H42</f>
        <v>55.5</v>
      </c>
      <c r="I45" s="40">
        <f>1.5*I42</f>
        <v>52.4344498613084</v>
      </c>
    </row>
    <row r="46" spans="7:9" ht="12" customHeight="1">
      <c r="G46" s="3"/>
      <c r="H46" s="3"/>
      <c r="I46" s="3"/>
    </row>
    <row r="47" spans="7:9" ht="12" customHeight="1">
      <c r="G47" s="3"/>
      <c r="H47" s="5" t="s">
        <v>52</v>
      </c>
      <c r="I47" s="3"/>
    </row>
    <row r="48" spans="1:9" ht="11.25">
      <c r="A48" s="45" t="s">
        <v>53</v>
      </c>
      <c r="B48" s="46"/>
      <c r="C48" s="46"/>
      <c r="D48" s="46"/>
      <c r="E48" s="46"/>
      <c r="F48" s="46"/>
      <c r="G48" s="46"/>
      <c r="H48" s="46"/>
      <c r="I48" s="46"/>
    </row>
    <row r="49" spans="1:9" ht="11.2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1.25">
      <c r="A50" s="46"/>
      <c r="B50" s="46"/>
      <c r="C50" s="46"/>
      <c r="D50" s="46"/>
      <c r="E50" s="46"/>
      <c r="F50" s="46"/>
      <c r="G50" s="46"/>
      <c r="H50" s="46"/>
      <c r="I50" s="46"/>
    </row>
  </sheetData>
  <sheetProtection password="CC1E" sheet="1" objects="1" scenarios="1"/>
  <mergeCells count="1">
    <mergeCell ref="A48:I50"/>
  </mergeCells>
  <printOptions horizontalCentered="1"/>
  <pageMargins left="0.75" right="0.75" top="1" bottom="1" header="0.5" footer="0.5"/>
  <pageSetup horizontalDpi="300" verticalDpi="300" orientation="portrait" r:id="rId4"/>
  <headerFooter alignWithMargins="0">
    <oddHeader>&amp;L&amp;"Prestige Elite,Regular"N9849C&amp;C&amp;"Prestige Elite,Bold"Kirtland Flight Center
Weight &amp;&amp; Balance&amp;R&amp;"Prestige Elite,Regular"&amp;T 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N9849C Weight &amp; Balance</dc:title>
  <dc:subject/>
  <dc:creator>Sharpes</dc:creator>
  <cp:keywords/>
  <dc:description/>
  <cp:lastModifiedBy>acmembers</cp:lastModifiedBy>
  <cp:lastPrinted>2016-09-04T14:05:29Z</cp:lastPrinted>
  <dcterms:created xsi:type="dcterms:W3CDTF">2003-10-08T00:35:28Z</dcterms:created>
  <dcterms:modified xsi:type="dcterms:W3CDTF">2016-09-04T14:06:19Z</dcterms:modified>
  <cp:category/>
  <cp:version/>
  <cp:contentType/>
  <cp:contentStatus/>
</cp:coreProperties>
</file>