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170" windowWidth="15195" windowHeight="7935" activeTab="0"/>
  </bookViews>
  <sheets>
    <sheet name="N66MJ" sheetId="1" r:id="rId1"/>
  </sheets>
  <externalReferences>
    <externalReference r:id="rId4"/>
  </externalReferences>
  <definedNames>
    <definedName name="_Regression_Int" localSheetId="0" hidden="1">1</definedName>
    <definedName name="Print_Area_MI" localSheetId="0">'N66MJ'!$A$1:$I$41</definedName>
    <definedName name="Print_Area_MI">'[1]7898N'!$A$1:$I$40</definedName>
  </definedNames>
  <calcPr fullCalcOnLoad="1"/>
</workbook>
</file>

<file path=xl/sharedStrings.xml><?xml version="1.0" encoding="utf-8"?>
<sst xmlns="http://schemas.openxmlformats.org/spreadsheetml/2006/main" count="43" uniqueCount="40">
  <si>
    <t>Item</t>
  </si>
  <si>
    <t>Weight</t>
  </si>
  <si>
    <t>Arm</t>
  </si>
  <si>
    <t>Moment</t>
  </si>
  <si>
    <t>Licensed Empty Weight</t>
  </si>
  <si>
    <t>Pilot</t>
  </si>
  <si>
    <t>Co-Pilot</t>
  </si>
  <si>
    <t>Fuel</t>
  </si>
  <si>
    <t>Gal</t>
  </si>
  <si>
    <t>Oil</t>
  </si>
  <si>
    <t>Quarts</t>
  </si>
  <si>
    <t>Rear Seats</t>
  </si>
  <si>
    <t>Baggage Area 1</t>
  </si>
  <si>
    <t>Baggage Area 2</t>
  </si>
  <si>
    <t>Total</t>
  </si>
  <si>
    <t>Fuel Burn GPH</t>
  </si>
  <si>
    <t>Planned Flight Time</t>
  </si>
  <si>
    <t>Fuel (Taxi,Climb)</t>
  </si>
  <si>
    <t>Est Total Fuel</t>
  </si>
  <si>
    <t>Fuel Remaining</t>
  </si>
  <si>
    <t>Time Remaining</t>
  </si>
  <si>
    <t>Landing Weight/CG</t>
  </si>
  <si>
    <t>Field Elevation</t>
  </si>
  <si>
    <t>Density Altitude</t>
  </si>
  <si>
    <t>Field Temperature "C"</t>
  </si>
  <si>
    <t>"F"</t>
  </si>
  <si>
    <t>Standard Temp for Field Elevation in "C"</t>
  </si>
  <si>
    <t>Vso at Max Gross:</t>
  </si>
  <si>
    <t>CG</t>
  </si>
  <si>
    <t>Vso at Take-off Wt:</t>
  </si>
  <si>
    <t>/1,000  lb-in</t>
  </si>
  <si>
    <t>lb</t>
  </si>
  <si>
    <t>1.3 x Vso:</t>
  </si>
  <si>
    <t>Takeoff:</t>
  </si>
  <si>
    <t>1.4 x Vso:</t>
  </si>
  <si>
    <t>Landing:</t>
  </si>
  <si>
    <t>1.5 x Vso:</t>
  </si>
  <si>
    <t>Normal</t>
  </si>
  <si>
    <t>Utility</t>
  </si>
  <si>
    <t>Updated by David Simonson, 24JUL07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</si>
</sst>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_)"/>
    <numFmt numFmtId="167" formatCode="0.00_)"/>
    <numFmt numFmtId="168" formatCode="0.0"/>
    <numFmt numFmtId="169" formatCode="0.0000"/>
    <numFmt numFmtId="170" formatCode="#,##0.0"/>
    <numFmt numFmtId="171" formatCode=";;;"/>
    <numFmt numFmtId="172" formatCode="mmmm\-yy"/>
    <numFmt numFmtId="173" formatCode="_(* #,##0.00_);_(* \(#,##0.00\);??_);_(@_)"/>
    <numFmt numFmtId="174" formatCode="0.000_)"/>
    <numFmt numFmtId="175" formatCode="0.00000E+00"/>
  </numFmts>
  <fonts count="51">
    <font>
      <sz val="10"/>
      <name val="Arial"/>
      <family val="0"/>
    </font>
    <font>
      <u val="single"/>
      <sz val="7.2"/>
      <color indexed="36"/>
      <name val="Times New Roman"/>
      <family val="0"/>
    </font>
    <font>
      <u val="single"/>
      <sz val="7.2"/>
      <color indexed="12"/>
      <name val="Times New Roman"/>
      <family val="0"/>
    </font>
    <font>
      <sz val="10"/>
      <name val="Courier"/>
      <family val="0"/>
    </font>
    <font>
      <sz val="12"/>
      <name val="Courier"/>
      <family val="0"/>
    </font>
    <font>
      <sz val="12"/>
      <name val="Arial"/>
      <family val="0"/>
    </font>
    <font>
      <sz val="12"/>
      <color indexed="12"/>
      <name val="Arial"/>
      <family val="0"/>
    </font>
    <font>
      <sz val="12"/>
      <color indexed="8"/>
      <name val="Arial"/>
      <family val="0"/>
    </font>
    <font>
      <sz val="12"/>
      <color indexed="8"/>
      <name val="Courier"/>
      <family val="0"/>
    </font>
    <font>
      <sz val="12"/>
      <color indexed="9"/>
      <name val="Arial"/>
      <family val="0"/>
    </font>
    <font>
      <sz val="12"/>
      <color indexed="9"/>
      <name val="Courier"/>
      <family val="0"/>
    </font>
    <font>
      <sz val="12"/>
      <color indexed="10"/>
      <name val="Courier"/>
      <family val="0"/>
    </font>
    <font>
      <sz val="12"/>
      <color indexed="10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sz val="9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64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4" fillId="0" borderId="0" xfId="57" applyFont="1" applyProtection="1">
      <alignment/>
      <protection hidden="1"/>
    </xf>
    <xf numFmtId="164" fontId="5" fillId="0" borderId="0" xfId="57" applyFont="1" applyProtection="1">
      <alignment/>
      <protection hidden="1"/>
    </xf>
    <xf numFmtId="164" fontId="5" fillId="0" borderId="0" xfId="57" applyNumberFormat="1" applyFont="1" applyAlignment="1" applyProtection="1">
      <alignment horizontal="left"/>
      <protection hidden="1"/>
    </xf>
    <xf numFmtId="164" fontId="5" fillId="0" borderId="0" xfId="57" applyNumberFormat="1" applyFont="1" applyAlignment="1" applyProtection="1">
      <alignment horizontal="center"/>
      <protection hidden="1"/>
    </xf>
    <xf numFmtId="164" fontId="5" fillId="0" borderId="0" xfId="57" applyNumberFormat="1" applyFont="1" applyAlignment="1" applyProtection="1">
      <alignment horizontal="right"/>
      <protection hidden="1"/>
    </xf>
    <xf numFmtId="165" fontId="5" fillId="0" borderId="0" xfId="57" applyNumberFormat="1" applyFont="1" applyProtection="1">
      <alignment/>
      <protection hidden="1"/>
    </xf>
    <xf numFmtId="166" fontId="5" fillId="0" borderId="0" xfId="57" applyNumberFormat="1" applyFont="1" applyProtection="1">
      <alignment/>
      <protection hidden="1"/>
    </xf>
    <xf numFmtId="167" fontId="5" fillId="0" borderId="0" xfId="57" applyNumberFormat="1" applyFont="1" applyProtection="1">
      <alignment/>
      <protection hidden="1"/>
    </xf>
    <xf numFmtId="165" fontId="6" fillId="0" borderId="0" xfId="57" applyNumberFormat="1" applyFont="1" applyProtection="1">
      <alignment/>
      <protection locked="0"/>
    </xf>
    <xf numFmtId="164" fontId="6" fillId="0" borderId="0" xfId="57" applyNumberFormat="1" applyFont="1" applyProtection="1">
      <alignment/>
      <protection locked="0"/>
    </xf>
    <xf numFmtId="164" fontId="6" fillId="0" borderId="0" xfId="57" applyNumberFormat="1" applyFont="1" applyProtection="1">
      <alignment/>
      <protection hidden="1"/>
    </xf>
    <xf numFmtId="165" fontId="6" fillId="0" borderId="0" xfId="57" applyNumberFormat="1" applyFont="1" applyProtection="1">
      <alignment/>
      <protection locked="0"/>
    </xf>
    <xf numFmtId="167" fontId="0" fillId="0" borderId="0" xfId="57" applyNumberFormat="1" applyFont="1" applyProtection="1">
      <alignment/>
      <protection hidden="1"/>
    </xf>
    <xf numFmtId="164" fontId="5" fillId="0" borderId="0" xfId="57" applyNumberFormat="1" applyFont="1" applyProtection="1">
      <alignment/>
      <protection hidden="1"/>
    </xf>
    <xf numFmtId="168" fontId="5" fillId="0" borderId="0" xfId="57" applyNumberFormat="1" applyFont="1" applyProtection="1">
      <alignment/>
      <protection hidden="1"/>
    </xf>
    <xf numFmtId="168" fontId="4" fillId="0" borderId="0" xfId="57" applyNumberFormat="1" applyFont="1" applyProtection="1">
      <alignment/>
      <protection hidden="1"/>
    </xf>
    <xf numFmtId="164" fontId="7" fillId="0" borderId="0" xfId="57" applyFont="1" applyProtection="1">
      <alignment/>
      <protection hidden="1"/>
    </xf>
    <xf numFmtId="164" fontId="8" fillId="0" borderId="0" xfId="57" applyFont="1" applyProtection="1">
      <alignment/>
      <protection hidden="1"/>
    </xf>
    <xf numFmtId="164" fontId="6" fillId="0" borderId="0" xfId="57" applyNumberFormat="1" applyFont="1" applyAlignment="1" applyProtection="1">
      <alignment horizontal="left"/>
      <protection locked="0"/>
    </xf>
    <xf numFmtId="164" fontId="9" fillId="0" borderId="0" xfId="57" applyFont="1" applyProtection="1">
      <alignment/>
      <protection hidden="1"/>
    </xf>
    <xf numFmtId="164" fontId="10" fillId="0" borderId="0" xfId="57" applyFont="1" applyProtection="1">
      <alignment/>
      <protection hidden="1"/>
    </xf>
    <xf numFmtId="164" fontId="9" fillId="0" borderId="0" xfId="57" applyFont="1" applyAlignment="1" applyProtection="1">
      <alignment horizontal="center"/>
      <protection hidden="1"/>
    </xf>
    <xf numFmtId="164" fontId="11" fillId="0" borderId="0" xfId="57" applyFont="1" applyProtection="1">
      <alignment/>
      <protection hidden="1"/>
    </xf>
    <xf numFmtId="165" fontId="5" fillId="0" borderId="0" xfId="57" applyNumberFormat="1" applyFont="1" applyAlignment="1" applyProtection="1">
      <alignment horizontal="left"/>
      <protection hidden="1"/>
    </xf>
    <xf numFmtId="164" fontId="9" fillId="0" borderId="0" xfId="57" applyFont="1" applyAlignment="1" applyProtection="1" quotePrefix="1">
      <alignment horizontal="center"/>
      <protection hidden="1"/>
    </xf>
    <xf numFmtId="164" fontId="12" fillId="0" borderId="0" xfId="57" applyFont="1" applyProtection="1">
      <alignment/>
      <protection hidden="1"/>
    </xf>
    <xf numFmtId="164" fontId="10" fillId="0" borderId="0" xfId="57" applyFont="1" applyBorder="1" applyAlignment="1" applyProtection="1">
      <alignment horizontal="centerContinuous"/>
      <protection hidden="1"/>
    </xf>
    <xf numFmtId="2" fontId="10" fillId="0" borderId="0" xfId="57" applyNumberFormat="1" applyFont="1" applyProtection="1">
      <alignment/>
      <protection hidden="1"/>
    </xf>
    <xf numFmtId="164" fontId="9" fillId="0" borderId="0" xfId="57" applyFont="1" applyBorder="1" applyAlignment="1" applyProtection="1">
      <alignment horizontal="right"/>
      <protection hidden="1"/>
    </xf>
    <xf numFmtId="168" fontId="9" fillId="0" borderId="0" xfId="57" applyNumberFormat="1" applyFont="1" applyBorder="1" applyAlignment="1" applyProtection="1">
      <alignment horizontal="right"/>
      <protection hidden="1"/>
    </xf>
    <xf numFmtId="164" fontId="5" fillId="0" borderId="0" xfId="57" applyFont="1" applyAlignment="1" applyProtection="1">
      <alignment horizontal="left"/>
      <protection hidden="1"/>
    </xf>
    <xf numFmtId="164" fontId="13" fillId="0" borderId="0" xfId="57" applyFont="1" applyAlignment="1" applyProtection="1">
      <alignment horizontal="center"/>
      <protection hidden="1"/>
    </xf>
    <xf numFmtId="164" fontId="9" fillId="0" borderId="0" xfId="57" applyFont="1" applyBorder="1" applyAlignment="1" applyProtection="1">
      <alignment horizontal="right"/>
      <protection hidden="1"/>
    </xf>
    <xf numFmtId="164" fontId="9" fillId="0" borderId="0" xfId="57" applyFont="1" applyProtection="1">
      <alignment/>
      <protection hidden="1"/>
    </xf>
    <xf numFmtId="164" fontId="12" fillId="0" borderId="0" xfId="57" applyFont="1" applyProtection="1">
      <alignment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7873N Cessna T-41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0225"/>
          <c:w val="0.952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'N66MJ'!$B$30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'N66MJ'!$B$31:$B$36</c:f>
              <c:numCache/>
            </c:numRef>
          </c:xVal>
          <c:yVal>
            <c:numRef>
              <c:f>'N66MJ'!$C$31:$C$36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'N66MJ'!$C$28:$C$29</c:f>
              <c:numCache/>
            </c:numRef>
          </c:xVal>
          <c:yVal>
            <c:numRef>
              <c:f>'N66MJ'!$D$28:$D$29</c:f>
              <c:numCache/>
            </c:numRef>
          </c:yVal>
          <c:smooth val="0"/>
        </c:ser>
        <c:ser>
          <c:idx val="2"/>
          <c:order val="2"/>
          <c:tx>
            <c:v>Utility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'N66MJ'!$D$31:$D$36</c:f>
              <c:numCache/>
            </c:numRef>
          </c:xVal>
          <c:yVal>
            <c:numRef>
              <c:f>'N66MJ'!$E$31:$E$36</c:f>
              <c:numCache/>
            </c:numRef>
          </c:yVal>
          <c:smooth val="0"/>
        </c:ser>
        <c:axId val="35489750"/>
        <c:axId val="50972295"/>
      </c:scatterChart>
      <c:valAx>
        <c:axId val="35489750"/>
        <c:scaling>
          <c:orientation val="minMax"/>
          <c:max val="16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Moment / 1,000 (in-lbs)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72295"/>
        <c:crosses val="autoZero"/>
        <c:crossBetween val="midCat"/>
        <c:dispUnits/>
        <c:majorUnit val="10"/>
        <c:minorUnit val="5"/>
      </c:valAx>
      <c:valAx>
        <c:axId val="50972295"/>
        <c:scaling>
          <c:orientation val="minMax"/>
          <c:max val="35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Weight (lbs)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489750"/>
        <c:crosses val="autoZero"/>
        <c:crossBetween val="midCat"/>
        <c:dispUnits/>
        <c:majorUnit val="2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375"/>
          <c:w val="0.96075"/>
          <c:h val="0.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'N66MJ'!$B$30</c:f>
              <c:strCache>
                <c:ptCount val="1"/>
                <c:pt idx="0">
                  <c:v>Normal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'N66MJ'!$D$28:$D$29</c:f>
              <c:numCache/>
            </c:numRef>
          </c:xVal>
          <c:yVal>
            <c:numRef>
              <c:f>'N66MJ'!$E$28:$E$29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'N66MJ'!$A$31:$A$36</c:f>
              <c:numCache/>
            </c:numRef>
          </c:xVal>
          <c:yVal>
            <c:numRef>
              <c:f>'N66MJ'!$C$31:$C$36</c:f>
              <c:numCache/>
            </c:numRef>
          </c:yVal>
          <c:smooth val="0"/>
        </c:ser>
        <c:ser>
          <c:idx val="3"/>
          <c:order val="2"/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'N66MJ'!$E$28:$E$29</c:f>
              <c:numCache/>
            </c:numRef>
          </c:xVal>
          <c:yVal>
            <c:numRef>
              <c:f>'N66MJ'!$D$28:$D$29</c:f>
              <c:numCache/>
            </c:numRef>
          </c:yVal>
          <c:smooth val="1"/>
        </c:ser>
        <c:axId val="56097472"/>
        <c:axId val="35115201"/>
      </c:scatterChart>
      <c:valAx>
        <c:axId val="56097472"/>
        <c:scaling>
          <c:orientation val="minMax"/>
          <c:max val="55"/>
          <c:min val="2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5201"/>
        <c:crosses val="autoZero"/>
        <c:crossBetween val="midCat"/>
        <c:dispUnits/>
        <c:majorUnit val="5"/>
        <c:minorUnit val="1"/>
      </c:valAx>
      <c:valAx>
        <c:axId val="35115201"/>
        <c:scaling>
          <c:orientation val="minMax"/>
          <c:max val="3300"/>
          <c:min val="1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97472"/>
        <c:crosses val="autoZero"/>
        <c:crossBetween val="midCat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0</xdr:row>
      <xdr:rowOff>47625</xdr:rowOff>
    </xdr:from>
    <xdr:to>
      <xdr:col>16</xdr:col>
      <xdr:colOff>333375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096000" y="47625"/>
        <a:ext cx="49244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638175</xdr:colOff>
      <xdr:row>23</xdr:row>
      <xdr:rowOff>76200</xdr:rowOff>
    </xdr:from>
    <xdr:to>
      <xdr:col>16</xdr:col>
      <xdr:colOff>333375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6096000" y="4314825"/>
        <a:ext cx="49244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rniJF\Local%20Settings\Temporary%20Internet%20Files\OLKE6\My%20Documents\Simonson\Aero%20Club\Aero%20Club%20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formance"/>
      <sheetName val="N737NM"/>
      <sheetName val="N2939E"/>
      <sheetName val="59235"/>
      <sheetName val="N6205H"/>
      <sheetName val="N96844"/>
      <sheetName val="7073X"/>
      <sheetName val="N7360C"/>
      <sheetName val="7867N"/>
      <sheetName val="7873N"/>
      <sheetName val="7882N"/>
      <sheetName val="7887N"/>
      <sheetName val="7898N"/>
      <sheetName val="N9436L"/>
      <sheetName val="N9455X"/>
      <sheetName val="9849C"/>
    </sheetNames>
    <sheetDataSet>
      <sheetData sheetId="12">
        <row r="3">
          <cell r="A3" t="str">
            <v>Item</v>
          </cell>
          <cell r="D3" t="str">
            <v>Weight</v>
          </cell>
          <cell r="F3" t="str">
            <v>Arm</v>
          </cell>
          <cell r="H3" t="str">
            <v>Moment</v>
          </cell>
        </row>
        <row r="5">
          <cell r="A5" t="str">
            <v>Licensed Empty Weight (as of 4 Jun 97)</v>
          </cell>
          <cell r="D5">
            <v>1440.27</v>
          </cell>
          <cell r="F5">
            <v>37.471730994882904</v>
          </cell>
          <cell r="H5">
            <v>53969.41</v>
          </cell>
        </row>
        <row r="6">
          <cell r="A6" t="str">
            <v>Pilot</v>
          </cell>
          <cell r="D6">
            <v>150</v>
          </cell>
          <cell r="F6">
            <v>36</v>
          </cell>
          <cell r="H6">
            <v>5400</v>
          </cell>
        </row>
        <row r="7">
          <cell r="A7" t="str">
            <v>Co-Pilot</v>
          </cell>
          <cell r="D7">
            <v>0</v>
          </cell>
          <cell r="F7">
            <v>36</v>
          </cell>
          <cell r="H7">
            <v>0</v>
          </cell>
        </row>
        <row r="8">
          <cell r="A8" t="str">
            <v>Fuel</v>
          </cell>
          <cell r="B8">
            <v>46</v>
          </cell>
          <cell r="C8" t="str">
            <v>Gal</v>
          </cell>
          <cell r="D8">
            <v>276</v>
          </cell>
          <cell r="F8">
            <v>47.826086</v>
          </cell>
          <cell r="H8">
            <v>13199.999736</v>
          </cell>
        </row>
        <row r="9">
          <cell r="A9" t="str">
            <v>Oil</v>
          </cell>
          <cell r="B9">
            <v>8</v>
          </cell>
          <cell r="C9" t="str">
            <v>Quarts</v>
          </cell>
          <cell r="D9">
            <v>15</v>
          </cell>
          <cell r="F9">
            <v>-21.3333</v>
          </cell>
          <cell r="H9">
            <v>-319.9995</v>
          </cell>
        </row>
        <row r="10">
          <cell r="A10" t="str">
            <v>Rear Seats</v>
          </cell>
          <cell r="D10">
            <v>25</v>
          </cell>
          <cell r="F10">
            <v>70</v>
          </cell>
          <cell r="H10">
            <v>1750</v>
          </cell>
        </row>
        <row r="11">
          <cell r="A11" t="str">
            <v>Baggage</v>
          </cell>
          <cell r="D11">
            <v>0</v>
          </cell>
          <cell r="F11">
            <v>95</v>
          </cell>
          <cell r="H11">
            <v>0</v>
          </cell>
        </row>
        <row r="12">
          <cell r="C12" t="str">
            <v>Total</v>
          </cell>
          <cell r="D12">
            <v>1906.27</v>
          </cell>
          <cell r="F12">
            <v>38.818955465909866</v>
          </cell>
          <cell r="H12">
            <v>73999.410236</v>
          </cell>
        </row>
        <row r="14">
          <cell r="B14" t="str">
            <v>Fuel Burn GPH</v>
          </cell>
          <cell r="C14">
            <v>9.5</v>
          </cell>
          <cell r="F14" t="str">
            <v>Planned Flight Time</v>
          </cell>
          <cell r="G14">
            <v>2</v>
          </cell>
        </row>
        <row r="15">
          <cell r="B15" t="str">
            <v>Fuel (Taxi,Climb)</v>
          </cell>
          <cell r="C15">
            <v>2.7</v>
          </cell>
          <cell r="F15" t="str">
            <v>Est Total Fuel</v>
          </cell>
          <cell r="G15">
            <v>21.7</v>
          </cell>
        </row>
        <row r="16">
          <cell r="B16" t="str">
            <v>Fuel Remaining</v>
          </cell>
          <cell r="C16">
            <v>24.3</v>
          </cell>
          <cell r="F16" t="str">
            <v>Time Remaining</v>
          </cell>
          <cell r="G16">
            <v>2.557894736842105</v>
          </cell>
        </row>
        <row r="18">
          <cell r="A18" t="str">
            <v>Landing Weight/CG</v>
          </cell>
          <cell r="D18">
            <v>1776.07</v>
          </cell>
          <cell r="F18">
            <v>38.15866144847895</v>
          </cell>
          <cell r="H18">
            <v>67772.45383880001</v>
          </cell>
        </row>
        <row r="20">
          <cell r="A20" t="str">
            <v>Field Elevation</v>
          </cell>
          <cell r="C20">
            <v>5352</v>
          </cell>
        </row>
        <row r="21">
          <cell r="A21" t="str">
            <v>Density Altitude</v>
          </cell>
          <cell r="C21">
            <v>7800.799999999999</v>
          </cell>
          <cell r="F21" t="str">
            <v>Field Temperature "C"</v>
          </cell>
          <cell r="G21">
            <v>25</v>
          </cell>
          <cell r="H21">
            <v>77</v>
          </cell>
          <cell r="I21" t="str">
            <v>"F"</v>
          </cell>
        </row>
        <row r="22">
          <cell r="F22" t="str">
            <v>Standard Temp for Field Elevation in "C"</v>
          </cell>
          <cell r="G22">
            <v>4.593333333333334</v>
          </cell>
          <cell r="H22">
            <v>40.268</v>
          </cell>
          <cell r="I22" t="str">
            <v>"F"</v>
          </cell>
        </row>
        <row r="24">
          <cell r="H24" t="str">
            <v>Vso at Max Gross:</v>
          </cell>
          <cell r="I24">
            <v>53</v>
          </cell>
        </row>
        <row r="25">
          <cell r="C25" t="str">
            <v>Moment</v>
          </cell>
          <cell r="D25" t="str">
            <v>Weight</v>
          </cell>
          <cell r="H25" t="str">
            <v>Vso at Take-off Wt:</v>
          </cell>
          <cell r="I25">
            <v>46.706462</v>
          </cell>
        </row>
        <row r="26">
          <cell r="C26" t="str">
            <v>/1,000  lb-in</v>
          </cell>
          <cell r="D26" t="str">
            <v>lb</v>
          </cell>
          <cell r="H26" t="str">
            <v>1.3 x Vso:</v>
          </cell>
          <cell r="I26">
            <v>60.7184006</v>
          </cell>
        </row>
        <row r="27">
          <cell r="B27" t="str">
            <v>Takeoff:</v>
          </cell>
          <cell r="C27">
            <v>73.999410236</v>
          </cell>
          <cell r="D27">
            <v>1906.27</v>
          </cell>
          <cell r="H27" t="str">
            <v>1.4 x Vso:</v>
          </cell>
          <cell r="I27">
            <v>65.3890468</v>
          </cell>
        </row>
        <row r="28">
          <cell r="B28" t="str">
            <v>Landing:</v>
          </cell>
          <cell r="C28">
            <v>67.7724538388</v>
          </cell>
          <cell r="D28">
            <v>1776.07</v>
          </cell>
          <cell r="H28" t="str">
            <v>1.5 x Vso:</v>
          </cell>
          <cell r="I28">
            <v>70.05969300000001</v>
          </cell>
        </row>
        <row r="29">
          <cell r="B29" t="str">
            <v>Normal</v>
          </cell>
          <cell r="D29" t="str">
            <v>Utility</v>
          </cell>
        </row>
        <row r="30">
          <cell r="B30">
            <v>52</v>
          </cell>
          <cell r="C30">
            <v>1500</v>
          </cell>
          <cell r="D30">
            <v>52</v>
          </cell>
          <cell r="E30">
            <v>1500</v>
          </cell>
        </row>
        <row r="31">
          <cell r="B31">
            <v>68</v>
          </cell>
          <cell r="C31">
            <v>1960</v>
          </cell>
          <cell r="D31">
            <v>68</v>
          </cell>
          <cell r="E31">
            <v>1960</v>
          </cell>
        </row>
        <row r="32">
          <cell r="B32">
            <v>101</v>
          </cell>
          <cell r="C32">
            <v>2500</v>
          </cell>
          <cell r="D32">
            <v>83</v>
          </cell>
          <cell r="E32">
            <v>2200</v>
          </cell>
        </row>
        <row r="33">
          <cell r="B33">
            <v>118</v>
          </cell>
          <cell r="C33">
            <v>2500</v>
          </cell>
          <cell r="D33">
            <v>89</v>
          </cell>
          <cell r="E33">
            <v>2200</v>
          </cell>
        </row>
        <row r="34">
          <cell r="B34">
            <v>70.5</v>
          </cell>
          <cell r="C34">
            <v>1500</v>
          </cell>
          <cell r="D34">
            <v>60.5</v>
          </cell>
          <cell r="E34">
            <v>1500</v>
          </cell>
        </row>
        <row r="35">
          <cell r="B35">
            <v>52</v>
          </cell>
          <cell r="C35">
            <v>1500</v>
          </cell>
          <cell r="D35">
            <v>52</v>
          </cell>
          <cell r="E35">
            <v>1500</v>
          </cell>
        </row>
        <row r="39">
          <cell r="I39" t="str">
            <v>Updated by Dan Sharpes, 19 Sep 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62"/>
  <sheetViews>
    <sheetView showGridLines="0" tabSelected="1" zoomScale="67" zoomScaleNormal="67" zoomScalePageLayoutView="0" workbookViewId="0" topLeftCell="A1">
      <selection activeCell="G16" sqref="G16"/>
    </sheetView>
  </sheetViews>
  <sheetFormatPr defaultColWidth="9.8515625" defaultRowHeight="12.75"/>
  <cols>
    <col min="1" max="3" width="10.00390625" style="2" bestFit="1" customWidth="1"/>
    <col min="4" max="4" width="12.28125" style="2" customWidth="1"/>
    <col min="5" max="5" width="6.57421875" style="2" customWidth="1"/>
    <col min="6" max="6" width="10.00390625" style="2" bestFit="1" customWidth="1"/>
    <col min="7" max="7" width="8.140625" style="2" customWidth="1"/>
    <col min="8" max="8" width="14.8515625" style="2" customWidth="1"/>
    <col min="9" max="12" width="9.8515625" style="2" customWidth="1"/>
    <col min="13" max="13" width="9.421875" style="2" customWidth="1"/>
    <col min="14" max="16384" width="9.8515625" style="2" customWidth="1"/>
  </cols>
  <sheetData>
    <row r="1" spans="1:5" ht="15">
      <c r="A1" s="1"/>
      <c r="B1" s="1"/>
      <c r="D1" s="3"/>
      <c r="E1" s="1"/>
    </row>
    <row r="3" spans="1:8" ht="15">
      <c r="A3" s="4" t="s">
        <v>0</v>
      </c>
      <c r="D3" s="5" t="s">
        <v>1</v>
      </c>
      <c r="F3" s="4" t="s">
        <v>2</v>
      </c>
      <c r="H3" s="5" t="s">
        <v>3</v>
      </c>
    </row>
    <row r="5" spans="1:8" ht="15">
      <c r="A5" s="3" t="s">
        <v>4</v>
      </c>
      <c r="D5" s="8">
        <v>1908.35</v>
      </c>
      <c r="F5" s="8">
        <v>37.1</v>
      </c>
      <c r="H5" s="8">
        <v>70807.96</v>
      </c>
    </row>
    <row r="6" spans="1:8" ht="15">
      <c r="A6" s="3" t="s">
        <v>5</v>
      </c>
      <c r="D6" s="9">
        <v>190</v>
      </c>
      <c r="F6" s="7">
        <v>37</v>
      </c>
      <c r="H6" s="8">
        <f aca="true" t="shared" si="0" ref="H6:H12">D6*F6</f>
        <v>7030</v>
      </c>
    </row>
    <row r="7" spans="1:8" ht="15">
      <c r="A7" s="3" t="s">
        <v>6</v>
      </c>
      <c r="D7" s="9">
        <v>210</v>
      </c>
      <c r="F7" s="7">
        <v>37</v>
      </c>
      <c r="H7" s="8">
        <f t="shared" si="0"/>
        <v>7770</v>
      </c>
    </row>
    <row r="8" spans="1:8" ht="15">
      <c r="A8" s="3" t="s">
        <v>7</v>
      </c>
      <c r="B8" s="10">
        <v>62</v>
      </c>
      <c r="C8" s="3" t="s">
        <v>8</v>
      </c>
      <c r="D8" s="6">
        <f>B8*6</f>
        <v>372</v>
      </c>
      <c r="F8" s="7">
        <v>46</v>
      </c>
      <c r="H8" s="8">
        <f t="shared" si="0"/>
        <v>17112</v>
      </c>
    </row>
    <row r="9" spans="1:8" ht="15">
      <c r="A9" s="3" t="s">
        <v>9</v>
      </c>
      <c r="B9" s="10">
        <v>12</v>
      </c>
      <c r="C9" s="3" t="s">
        <v>10</v>
      </c>
      <c r="D9" s="6">
        <f>B9*1.875</f>
        <v>22.5</v>
      </c>
      <c r="F9" s="7">
        <v>-21.3333</v>
      </c>
      <c r="H9" s="8">
        <f t="shared" si="0"/>
        <v>-479.99925</v>
      </c>
    </row>
    <row r="10" spans="1:8" ht="15">
      <c r="A10" s="3" t="s">
        <v>11</v>
      </c>
      <c r="B10" s="11"/>
      <c r="D10" s="9">
        <v>380</v>
      </c>
      <c r="F10" s="7">
        <v>74</v>
      </c>
      <c r="H10" s="8">
        <f t="shared" si="0"/>
        <v>28120</v>
      </c>
    </row>
    <row r="11" spans="1:8" ht="15">
      <c r="A11" s="3" t="s">
        <v>12</v>
      </c>
      <c r="D11" s="9">
        <v>40</v>
      </c>
      <c r="F11" s="7">
        <v>97</v>
      </c>
      <c r="H11" s="8">
        <f t="shared" si="0"/>
        <v>3880</v>
      </c>
    </row>
    <row r="12" spans="1:8" ht="15">
      <c r="A12" s="3" t="s">
        <v>13</v>
      </c>
      <c r="D12" s="12">
        <v>0</v>
      </c>
      <c r="F12" s="7">
        <v>116</v>
      </c>
      <c r="H12" s="8">
        <f t="shared" si="0"/>
        <v>0</v>
      </c>
    </row>
    <row r="13" spans="3:8" ht="15">
      <c r="C13" s="4" t="s">
        <v>14</v>
      </c>
      <c r="D13" s="6">
        <f>SUM(D5:D12)</f>
        <v>3122.85</v>
      </c>
      <c r="F13" s="7">
        <f>H13/D13</f>
        <v>42.98636205709529</v>
      </c>
      <c r="H13" s="13">
        <f>SUM(H5:H12)</f>
        <v>134239.96075000003</v>
      </c>
    </row>
    <row r="15" spans="1:7" ht="15">
      <c r="A15" s="1"/>
      <c r="B15" s="5" t="s">
        <v>15</v>
      </c>
      <c r="C15" s="10">
        <v>12</v>
      </c>
      <c r="E15" s="1"/>
      <c r="F15" s="5" t="s">
        <v>16</v>
      </c>
      <c r="G15" s="10">
        <v>2</v>
      </c>
    </row>
    <row r="16" spans="1:7" ht="15">
      <c r="A16" s="1"/>
      <c r="B16" s="5" t="s">
        <v>17</v>
      </c>
      <c r="C16" s="10">
        <v>5</v>
      </c>
      <c r="E16" s="1"/>
      <c r="F16" s="5" t="s">
        <v>18</v>
      </c>
      <c r="G16" s="14">
        <f>(C15*G15)+C16</f>
        <v>29</v>
      </c>
    </row>
    <row r="17" spans="1:7" ht="15">
      <c r="A17" s="1"/>
      <c r="B17" s="5" t="s">
        <v>19</v>
      </c>
      <c r="C17" s="14">
        <f>B8-G16</f>
        <v>33</v>
      </c>
      <c r="E17" s="1"/>
      <c r="F17" s="5" t="s">
        <v>20</v>
      </c>
      <c r="G17" s="7">
        <f>C17/C15</f>
        <v>2.75</v>
      </c>
    </row>
    <row r="19" spans="1:8" ht="15">
      <c r="A19" s="3" t="s">
        <v>21</v>
      </c>
      <c r="D19" s="6">
        <f>SUM(D5:D7,D9:D11)+((D8)-(G16*6))</f>
        <v>2948.85</v>
      </c>
      <c r="F19" s="7">
        <f>H19/D19</f>
        <v>42.80853917628907</v>
      </c>
      <c r="H19" s="8">
        <f>SUM(H5:H7,H9:H11)+((B8-G16)*(F8*6))</f>
        <v>126235.96075000001</v>
      </c>
    </row>
    <row r="21" spans="1:9" ht="15">
      <c r="A21" s="3" t="s">
        <v>22</v>
      </c>
      <c r="C21" s="10">
        <v>5355</v>
      </c>
      <c r="E21" s="1"/>
      <c r="G21" s="1"/>
      <c r="H21" s="1"/>
      <c r="I21" s="1"/>
    </row>
    <row r="22" spans="1:10" ht="15">
      <c r="A22" s="3" t="s">
        <v>23</v>
      </c>
      <c r="C22" s="6">
        <f>C21+((H22-H23)/15)*1000</f>
        <v>4204.5</v>
      </c>
      <c r="F22" s="5" t="s">
        <v>24</v>
      </c>
      <c r="G22" s="10">
        <v>17</v>
      </c>
      <c r="H22" s="15">
        <v>23</v>
      </c>
      <c r="I22" s="3" t="s">
        <v>25</v>
      </c>
      <c r="J22" s="1"/>
    </row>
    <row r="23" spans="1:10" ht="15">
      <c r="A23" s="1"/>
      <c r="B23" s="1"/>
      <c r="C23" s="1"/>
      <c r="F23" s="5" t="s">
        <v>26</v>
      </c>
      <c r="G23" s="7">
        <f>((59-(C21*0.0035))-32)*5/9</f>
        <v>4.5875</v>
      </c>
      <c r="H23" s="15">
        <f>(G23*9/5)+32</f>
        <v>40.2575</v>
      </c>
      <c r="I23" s="3" t="s">
        <v>25</v>
      </c>
      <c r="J23" s="1"/>
    </row>
    <row r="24" spans="1:9" ht="15">
      <c r="A24" s="1"/>
      <c r="B24" s="1"/>
      <c r="C24" s="1"/>
      <c r="D24" s="1"/>
      <c r="E24" s="1"/>
      <c r="F24" s="1"/>
      <c r="G24" s="1"/>
      <c r="H24" s="16"/>
      <c r="I24" s="1"/>
    </row>
    <row r="25" spans="1:9" ht="15">
      <c r="A25" s="17"/>
      <c r="B25" s="18"/>
      <c r="C25" s="18"/>
      <c r="D25" s="18"/>
      <c r="E25" s="18"/>
      <c r="F25" s="18"/>
      <c r="G25" s="18"/>
      <c r="H25" s="5" t="s">
        <v>27</v>
      </c>
      <c r="I25" s="19">
        <v>55</v>
      </c>
    </row>
    <row r="26" spans="1:9" ht="15">
      <c r="A26" s="20"/>
      <c r="B26" s="21"/>
      <c r="C26" s="22" t="s">
        <v>3</v>
      </c>
      <c r="D26" s="22" t="s">
        <v>1</v>
      </c>
      <c r="E26" s="20" t="s">
        <v>28</v>
      </c>
      <c r="F26" s="20"/>
      <c r="G26" s="23"/>
      <c r="H26" s="5" t="s">
        <v>29</v>
      </c>
      <c r="I26" s="24">
        <f>I25-(I25-((D28/C33)*I25))/2</f>
        <v>56.61131355932203</v>
      </c>
    </row>
    <row r="27" spans="1:9" ht="15">
      <c r="A27" s="21"/>
      <c r="B27" s="21"/>
      <c r="C27" s="25" t="s">
        <v>30</v>
      </c>
      <c r="D27" s="22" t="s">
        <v>31</v>
      </c>
      <c r="E27" s="21"/>
      <c r="F27" s="21"/>
      <c r="G27" s="21"/>
      <c r="H27" s="5" t="s">
        <v>32</v>
      </c>
      <c r="I27" s="24">
        <f>I26*1.3</f>
        <v>73.59470762711864</v>
      </c>
    </row>
    <row r="28" spans="1:9" ht="15">
      <c r="A28" s="21"/>
      <c r="B28" s="20" t="s">
        <v>33</v>
      </c>
      <c r="C28" s="20">
        <f>H13/1000</f>
        <v>134.23996075000002</v>
      </c>
      <c r="D28" s="20">
        <f>D13</f>
        <v>3122.85</v>
      </c>
      <c r="E28" s="21">
        <f>F13</f>
        <v>42.98636205709529</v>
      </c>
      <c r="F28" s="21"/>
      <c r="G28" s="20"/>
      <c r="H28" s="5" t="s">
        <v>34</v>
      </c>
      <c r="I28" s="24">
        <f>I26*1.4</f>
        <v>79.25583898305084</v>
      </c>
    </row>
    <row r="29" spans="1:9" ht="15">
      <c r="A29" s="21"/>
      <c r="B29" s="20" t="s">
        <v>35</v>
      </c>
      <c r="C29" s="20">
        <f>H19/1000</f>
        <v>126.23596075000002</v>
      </c>
      <c r="D29" s="20">
        <f>D19</f>
        <v>2948.85</v>
      </c>
      <c r="E29" s="21">
        <f>F19</f>
        <v>42.80853917628907</v>
      </c>
      <c r="F29" s="20"/>
      <c r="G29" s="20"/>
      <c r="H29" s="5" t="s">
        <v>36</v>
      </c>
      <c r="I29" s="24">
        <f>I26*1.5</f>
        <v>84.91697033898305</v>
      </c>
    </row>
    <row r="30" spans="1:9" ht="15">
      <c r="A30" s="21"/>
      <c r="B30" s="27" t="s">
        <v>37</v>
      </c>
      <c r="C30" s="27"/>
      <c r="D30" s="27" t="s">
        <v>38</v>
      </c>
      <c r="E30" s="27"/>
      <c r="F30" s="20"/>
      <c r="G30" s="20"/>
      <c r="H30" s="1"/>
      <c r="I30" s="1"/>
    </row>
    <row r="31" spans="1:9" ht="15">
      <c r="A31" s="28">
        <f aca="true" t="shared" si="1" ref="A31:A36">SUM((B31*1000)/C31)</f>
        <v>34.666666666666664</v>
      </c>
      <c r="B31" s="29">
        <v>52</v>
      </c>
      <c r="C31" s="29">
        <v>1500</v>
      </c>
      <c r="D31" s="29">
        <v>52</v>
      </c>
      <c r="E31" s="33">
        <v>1500</v>
      </c>
      <c r="F31" s="34">
        <f aca="true" t="shared" si="2" ref="F31:F36">SUM((D31*1000)/E31)</f>
        <v>34.666666666666664</v>
      </c>
      <c r="G31" s="21"/>
      <c r="H31" s="1"/>
      <c r="I31" s="1"/>
    </row>
    <row r="32" spans="1:9" ht="15">
      <c r="A32" s="28">
        <f t="shared" si="1"/>
        <v>32.743362831858406</v>
      </c>
      <c r="B32" s="30">
        <v>74</v>
      </c>
      <c r="C32" s="29">
        <v>2260</v>
      </c>
      <c r="D32" s="30">
        <v>74</v>
      </c>
      <c r="E32" s="33">
        <v>2260</v>
      </c>
      <c r="F32" s="34">
        <f t="shared" si="2"/>
        <v>32.743362831858406</v>
      </c>
      <c r="G32" s="21"/>
      <c r="H32" s="1"/>
      <c r="I32" s="1"/>
    </row>
    <row r="33" spans="1:9" ht="15">
      <c r="A33" s="28">
        <f t="shared" si="1"/>
        <v>39.66101694915254</v>
      </c>
      <c r="B33" s="29">
        <v>117</v>
      </c>
      <c r="C33" s="29">
        <v>2950</v>
      </c>
      <c r="D33" s="29">
        <v>117</v>
      </c>
      <c r="E33" s="33">
        <v>2950</v>
      </c>
      <c r="F33" s="34">
        <f t="shared" si="2"/>
        <v>39.66101694915254</v>
      </c>
      <c r="G33" s="21"/>
      <c r="H33" s="1"/>
      <c r="I33" s="1"/>
    </row>
    <row r="34" spans="1:9" ht="15">
      <c r="A34" s="28">
        <v>46</v>
      </c>
      <c r="B34" s="29">
        <v>135</v>
      </c>
      <c r="C34" s="29">
        <v>2950</v>
      </c>
      <c r="D34" s="29">
        <v>135</v>
      </c>
      <c r="E34" s="33">
        <v>2950</v>
      </c>
      <c r="F34" s="34">
        <v>46</v>
      </c>
      <c r="G34" s="21"/>
      <c r="H34" s="1"/>
      <c r="I34" s="1"/>
    </row>
    <row r="35" spans="1:7" ht="15">
      <c r="A35" s="28">
        <v>46</v>
      </c>
      <c r="B35" s="29">
        <v>83</v>
      </c>
      <c r="C35" s="29">
        <v>1800</v>
      </c>
      <c r="D35" s="29">
        <v>83</v>
      </c>
      <c r="E35" s="33">
        <v>1800</v>
      </c>
      <c r="F35" s="34">
        <v>46</v>
      </c>
      <c r="G35" s="20"/>
    </row>
    <row r="36" spans="1:7" ht="15">
      <c r="A36" s="28">
        <f t="shared" si="1"/>
        <v>32.77777777777778</v>
      </c>
      <c r="B36" s="29">
        <v>59</v>
      </c>
      <c r="C36" s="29">
        <v>1800</v>
      </c>
      <c r="D36" s="29">
        <v>59</v>
      </c>
      <c r="E36" s="33">
        <v>1800</v>
      </c>
      <c r="F36" s="34">
        <f t="shared" si="2"/>
        <v>32.77777777777778</v>
      </c>
      <c r="G36" s="20"/>
    </row>
    <row r="37" spans="1:7" ht="15">
      <c r="A37" s="26"/>
      <c r="B37" s="26"/>
      <c r="C37" s="26"/>
      <c r="D37" s="26"/>
      <c r="E37" s="35"/>
      <c r="F37" s="35"/>
      <c r="G37" s="26"/>
    </row>
    <row r="38" spans="1:7" ht="15">
      <c r="A38" s="23"/>
      <c r="B38" s="26"/>
      <c r="C38" s="26"/>
      <c r="D38" s="26"/>
      <c r="E38" s="26"/>
      <c r="F38" s="26"/>
      <c r="G38" s="26"/>
    </row>
    <row r="39" spans="1:7" ht="15">
      <c r="A39" s="18"/>
      <c r="B39" s="31" t="s">
        <v>39</v>
      </c>
      <c r="C39" s="17"/>
      <c r="D39" s="17"/>
      <c r="E39" s="17"/>
      <c r="F39" s="17"/>
      <c r="G39" s="17"/>
    </row>
    <row r="40" spans="1:13" ht="15.75">
      <c r="A40" s="17"/>
      <c r="B40" s="17"/>
      <c r="C40" s="17"/>
      <c r="D40" s="17"/>
      <c r="E40" s="17"/>
      <c r="F40" s="17"/>
      <c r="G40" s="17"/>
      <c r="M40" s="32"/>
    </row>
    <row r="62" ht="15.75">
      <c r="D62" s="32"/>
    </row>
  </sheetData>
  <sheetProtection password="CC1E" sheet="1" objects="1" scenarios="1"/>
  <printOptions horizontalCentered="1"/>
  <pageMargins left="0.25" right="0.25" top="0.5" bottom="0.5" header="0.25" footer="0.25"/>
  <pageSetup fitToHeight="1" fitToWidth="1" horizontalDpi="300" verticalDpi="300" orientation="landscape" pageOrder="overThenDown" scale="78" r:id="rId2"/>
  <headerFooter alignWithMargins="0">
    <oddHeader>&amp;L&amp;UN66MJ&amp;C&amp;"Arial,Bold"Kirtland Flight Center
Weight and Balance&amp;R&amp;8  &amp;T  &amp;D</oddHead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Air Force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USAF User</dc:creator>
  <cp:keywords/>
  <dc:description/>
  <cp:lastModifiedBy>philip</cp:lastModifiedBy>
  <cp:lastPrinted>2010-12-09T20:17:39Z</cp:lastPrinted>
  <dcterms:created xsi:type="dcterms:W3CDTF">2007-07-24T19:30:56Z</dcterms:created>
  <dcterms:modified xsi:type="dcterms:W3CDTF">2011-04-27T20:36:25Z</dcterms:modified>
  <cp:category/>
  <cp:version/>
  <cp:contentType/>
  <cp:contentStatus/>
</cp:coreProperties>
</file>